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go\Documents\"/>
    </mc:Choice>
  </mc:AlternateContent>
  <xr:revisionPtr revIDLastSave="0" documentId="13_ncr:1_{9C449686-02AB-4301-AC71-4A4C7880E357}" xr6:coauthVersionLast="47" xr6:coauthVersionMax="47" xr10:uidLastSave="{00000000-0000-0000-0000-000000000000}"/>
  <bookViews>
    <workbookView xWindow="-120" yWindow="-120" windowWidth="29040" windowHeight="15840" xr2:uid="{99F80784-D2BA-4CD0-BEE7-938A20F231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J14" i="1" s="1"/>
  <c r="G11" i="1"/>
  <c r="G21" i="1"/>
  <c r="H9" i="1"/>
  <c r="H8" i="1"/>
  <c r="H7" i="1"/>
  <c r="H6" i="1"/>
  <c r="H5" i="1"/>
  <c r="G13" i="1"/>
  <c r="G12" i="1" l="1"/>
  <c r="K9" i="1" s="1"/>
  <c r="M9" i="1" s="1"/>
  <c r="N9" i="1" s="1"/>
  <c r="O9" i="1" s="1"/>
  <c r="L9" i="1" l="1"/>
  <c r="K7" i="1"/>
  <c r="K8" i="1"/>
  <c r="K14" i="1"/>
  <c r="K5" i="1"/>
  <c r="K6" i="1"/>
  <c r="K12" i="1"/>
  <c r="K13" i="1"/>
  <c r="K4" i="1"/>
  <c r="K10" i="1"/>
  <c r="K11" i="1"/>
  <c r="M11" i="1" l="1"/>
  <c r="N11" i="1" s="1"/>
  <c r="O11" i="1" s="1"/>
  <c r="L11" i="1"/>
  <c r="M13" i="1"/>
  <c r="N13" i="1" s="1"/>
  <c r="O13" i="1" s="1"/>
  <c r="L13" i="1"/>
  <c r="M5" i="1"/>
  <c r="N5" i="1" s="1"/>
  <c r="O5" i="1" s="1"/>
  <c r="L5" i="1"/>
  <c r="M8" i="1"/>
  <c r="N8" i="1" s="1"/>
  <c r="O8" i="1" s="1"/>
  <c r="L8" i="1"/>
  <c r="M4" i="1"/>
  <c r="N4" i="1" s="1"/>
  <c r="O4" i="1" s="1"/>
  <c r="L4" i="1"/>
  <c r="M6" i="1"/>
  <c r="N6" i="1" s="1"/>
  <c r="O6" i="1" s="1"/>
  <c r="L6" i="1"/>
  <c r="M7" i="1"/>
  <c r="N7" i="1" s="1"/>
  <c r="O7" i="1" s="1"/>
  <c r="L7" i="1"/>
  <c r="M10" i="1"/>
  <c r="N10" i="1" s="1"/>
  <c r="O10" i="1" s="1"/>
  <c r="L10" i="1"/>
  <c r="M12" i="1"/>
  <c r="N12" i="1" s="1"/>
  <c r="O12" i="1" s="1"/>
  <c r="L12" i="1"/>
  <c r="M14" i="1"/>
  <c r="N14" i="1" s="1"/>
  <c r="O14" i="1" s="1"/>
  <c r="L14" i="1"/>
</calcChain>
</file>

<file path=xl/sharedStrings.xml><?xml version="1.0" encoding="utf-8"?>
<sst xmlns="http://schemas.openxmlformats.org/spreadsheetml/2006/main" count="58" uniqueCount="49">
  <si>
    <t>Monster</t>
  </si>
  <si>
    <t>T1 trash monster</t>
  </si>
  <si>
    <t>T8 trash monster</t>
  </si>
  <si>
    <t>T16 trash monster</t>
  </si>
  <si>
    <t>T16 magic monster</t>
  </si>
  <si>
    <t>T16 rare</t>
  </si>
  <si>
    <t>T16 tanky rare (Kitava's Herald)</t>
  </si>
  <si>
    <t>T5 map boss</t>
  </si>
  <si>
    <t>T10 map boss</t>
  </si>
  <si>
    <t>T16 map boss</t>
  </si>
  <si>
    <t>Shaper Guardian</t>
  </si>
  <si>
    <t>Shaper/Maven/Sirus</t>
  </si>
  <si>
    <t>Uber Maven</t>
  </si>
  <si>
    <t>Uber Shaper/Sirus</t>
  </si>
  <si>
    <t>Synthete Nightmare (Cortex)</t>
  </si>
  <si>
    <t>Synthete (Replica Cortex)</t>
  </si>
  <si>
    <t>Ailment Threshold*</t>
  </si>
  <si>
    <t>Character Increased Shock Effect</t>
  </si>
  <si>
    <t>Shock Scaling Factor</t>
  </si>
  <si>
    <t>Shock Cap</t>
  </si>
  <si>
    <t>Damage</t>
  </si>
  <si>
    <t>Character Shock Cap Increases</t>
  </si>
  <si>
    <t>Monster Ailment Threshold</t>
  </si>
  <si>
    <t>Base Shock</t>
  </si>
  <si>
    <t>Respecting Cap</t>
  </si>
  <si>
    <t>Respecting Floor</t>
  </si>
  <si>
    <t>Shock</t>
  </si>
  <si>
    <t>Overshock gem level</t>
  </si>
  <si>
    <t>Overshock factor</t>
  </si>
  <si>
    <t>Yes</t>
  </si>
  <si>
    <t>No</t>
  </si>
  <si>
    <t>Overshock Gem Used?</t>
  </si>
  <si>
    <t>Monster has Stormweaver (Archnem)</t>
  </si>
  <si>
    <t>Monster has Electrocuting (Archnem)</t>
  </si>
  <si>
    <t>Monster has Storm Strider (Archnem)</t>
  </si>
  <si>
    <t>Monster has Storm Herald (Archnem)</t>
  </si>
  <si>
    <t>Monster has Mana Siphoner (Archnem)</t>
  </si>
  <si>
    <t>Fill in ALL yellow cells and NOTHING else; result is in the GREEN cell</t>
  </si>
  <si>
    <t>Underlying Data:</t>
  </si>
  <si>
    <t>"Fury Of Nature" Forbidden Flame used?</t>
  </si>
  <si>
    <t>"Fury Of Nature" Forbidden Flesh used?</t>
  </si>
  <si>
    <t>Fury pair equipped?</t>
  </si>
  <si>
    <t>Ranger Forbidden Respected</t>
  </si>
  <si>
    <t>Effective</t>
  </si>
  <si>
    <t>Monster You Are Shocking (Pick closest)</t>
  </si>
  <si>
    <t xml:space="preserve">* - This includes "monster takes X% less damage." </t>
  </si>
  <si>
    <t>Assumes enough ele pen to make effective res 0</t>
  </si>
  <si>
    <t>Damage of Hit (median non-crit after resists and penetration and all supports)</t>
  </si>
  <si>
    <t>Uber Cortex Synthete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</si>
</sst>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/>
    <xf numFmtId="10" fontId="0" fillId="0" borderId="0" xfId="0" applyNumberFormat="1"/>
    <xf numFmtId="10" fontId="0" fillId="3" borderId="0" xfId="0" applyNumberFormat="1" applyFill="1"/>
    <xf numFmtId="9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10" fontId="0" fillId="4" borderId="0" xfId="0" applyNumberFormat="1" applyFill="1"/>
    <xf numFmtId="0" fontId="0" fillId="4" borderId="0" xfId="0" applyFill="1" applyAlignment="1">
      <alignment horizontal="center" wrapText="1"/>
    </xf>
    <xf numFmtId="9" fontId="0" fillId="4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74C5-79EA-4136-BA9A-4C34A6309648}">
  <dimension ref="F1:R37"/>
  <sheetViews>
    <sheetView tabSelected="1" workbookViewId="0">
      <selection activeCell="J19" sqref="J19"/>
    </sheetView>
  </sheetViews>
  <sheetFormatPr defaultRowHeight="15" x14ac:dyDescent="0.25"/>
  <cols>
    <col min="1" max="5" width="9.140625" style="7"/>
    <col min="6" max="6" width="39" style="7" customWidth="1"/>
    <col min="7" max="7" width="28.7109375" style="8" bestFit="1" customWidth="1"/>
    <col min="8" max="10" width="9.140625" style="7"/>
    <col min="11" max="11" width="12" style="7" hidden="1" customWidth="1"/>
    <col min="12" max="12" width="27" style="7" hidden="1" customWidth="1"/>
    <col min="13" max="13" width="14.5703125" style="7" hidden="1" customWidth="1"/>
    <col min="14" max="14" width="15.85546875" style="7" hidden="1" customWidth="1"/>
    <col min="15" max="15" width="9.140625" style="7"/>
    <col min="16" max="16" width="28.7109375" style="7" bestFit="1" customWidth="1"/>
    <col min="17" max="17" width="29.140625" style="7" customWidth="1"/>
    <col min="18" max="18" width="18.7109375" style="7" bestFit="1" customWidth="1"/>
    <col min="19" max="16384" width="9.140625" style="7"/>
  </cols>
  <sheetData>
    <row r="1" spans="6:18" x14ac:dyDescent="0.25">
      <c r="F1" s="6" t="s">
        <v>37</v>
      </c>
      <c r="G1" s="6"/>
      <c r="H1" s="6"/>
      <c r="I1" s="6"/>
      <c r="J1" s="9"/>
      <c r="K1" s="9"/>
      <c r="L1" s="9"/>
      <c r="M1" s="9"/>
      <c r="N1" s="9"/>
      <c r="O1" s="9"/>
      <c r="P1" s="9"/>
      <c r="Q1" s="9" t="s">
        <v>38</v>
      </c>
      <c r="R1" s="9"/>
    </row>
    <row r="2" spans="6:18" x14ac:dyDescent="0.25">
      <c r="F2" s="9"/>
      <c r="G2" s="11"/>
      <c r="H2" s="9"/>
      <c r="I2" s="9"/>
      <c r="J2" s="9" t="s">
        <v>43</v>
      </c>
      <c r="K2" s="9"/>
      <c r="L2" s="9"/>
      <c r="M2" s="9"/>
      <c r="N2" s="9"/>
      <c r="O2" s="9"/>
      <c r="P2" s="9"/>
      <c r="Q2" s="9"/>
      <c r="R2" s="9"/>
    </row>
    <row r="3" spans="6:18" x14ac:dyDescent="0.25">
      <c r="F3" s="9" t="s">
        <v>17</v>
      </c>
      <c r="G3" s="4">
        <v>0.77</v>
      </c>
      <c r="H3" s="9"/>
      <c r="I3" s="9"/>
      <c r="J3" s="9" t="s">
        <v>20</v>
      </c>
      <c r="K3" t="s">
        <v>23</v>
      </c>
      <c r="L3" t="s">
        <v>42</v>
      </c>
      <c r="M3" t="s">
        <v>24</v>
      </c>
      <c r="N3" t="s">
        <v>25</v>
      </c>
      <c r="O3" s="9" t="s">
        <v>26</v>
      </c>
      <c r="P3" s="9"/>
      <c r="Q3" s="9" t="s">
        <v>0</v>
      </c>
      <c r="R3" s="9" t="s">
        <v>16</v>
      </c>
    </row>
    <row r="4" spans="6:18" x14ac:dyDescent="0.25">
      <c r="F4" s="9" t="s">
        <v>21</v>
      </c>
      <c r="G4" s="4">
        <v>0.15</v>
      </c>
      <c r="H4" s="9"/>
      <c r="I4" s="9"/>
      <c r="J4" s="9">
        <v>1000</v>
      </c>
      <c r="K4">
        <f t="shared" ref="K4:K14" si="0">0.5*(J4/G$11)^0.4*G$12</f>
        <v>5.931218048079092E-2</v>
      </c>
      <c r="L4">
        <f>K4*(1+G$21)</f>
        <v>5.931218048079092E-2</v>
      </c>
      <c r="M4" s="1">
        <f t="shared" ref="M4:M14" si="1">MIN(K4,G$13)</f>
        <v>5.931218048079092E-2</v>
      </c>
      <c r="N4" s="2">
        <f t="shared" ref="N4:N14" si="2">IF(M4&lt;0.05,0,M4)</f>
        <v>5.931218048079092E-2</v>
      </c>
      <c r="O4" s="12">
        <f>N4</f>
        <v>5.931218048079092E-2</v>
      </c>
      <c r="P4" s="9"/>
      <c r="Q4" s="9" t="s">
        <v>1</v>
      </c>
      <c r="R4" s="9">
        <v>6000</v>
      </c>
    </row>
    <row r="5" spans="6:18" x14ac:dyDescent="0.25">
      <c r="F5" s="9" t="s">
        <v>32</v>
      </c>
      <c r="G5" s="4" t="s">
        <v>30</v>
      </c>
      <c r="H5" s="9">
        <f>IF(G5="No",0,-0.8)</f>
        <v>0</v>
      </c>
      <c r="I5" s="9"/>
      <c r="J5" s="9">
        <v>3000</v>
      </c>
      <c r="K5">
        <f t="shared" si="0"/>
        <v>9.2043344758384354E-2</v>
      </c>
      <c r="L5">
        <f t="shared" ref="L5:L14" si="3">K5*(1+G$21)</f>
        <v>9.2043344758384354E-2</v>
      </c>
      <c r="M5" s="1">
        <f t="shared" si="1"/>
        <v>9.2043344758384354E-2</v>
      </c>
      <c r="N5" s="2">
        <f t="shared" si="2"/>
        <v>9.2043344758384354E-2</v>
      </c>
      <c r="O5" s="12">
        <f t="shared" ref="O5:O14" si="4">N5</f>
        <v>9.2043344758384354E-2</v>
      </c>
      <c r="P5" s="9"/>
      <c r="Q5" s="9" t="s">
        <v>2</v>
      </c>
      <c r="R5" s="9">
        <v>10000</v>
      </c>
    </row>
    <row r="6" spans="6:18" x14ac:dyDescent="0.25">
      <c r="F6" s="9" t="s">
        <v>33</v>
      </c>
      <c r="G6" s="4" t="s">
        <v>30</v>
      </c>
      <c r="H6" s="9">
        <f>IF(G6="No",0,-0.8)</f>
        <v>0</v>
      </c>
      <c r="I6" s="9"/>
      <c r="J6" s="9">
        <v>10000</v>
      </c>
      <c r="K6">
        <f t="shared" si="0"/>
        <v>0.1489854613729461</v>
      </c>
      <c r="L6">
        <f t="shared" si="3"/>
        <v>0.1489854613729461</v>
      </c>
      <c r="M6" s="1">
        <f t="shared" si="1"/>
        <v>0.1489854613729461</v>
      </c>
      <c r="N6" s="2">
        <f t="shared" si="2"/>
        <v>0.1489854613729461</v>
      </c>
      <c r="O6" s="12">
        <f t="shared" si="4"/>
        <v>0.1489854613729461</v>
      </c>
      <c r="P6" s="9"/>
      <c r="Q6" s="9" t="s">
        <v>3</v>
      </c>
      <c r="R6" s="9">
        <v>15000</v>
      </c>
    </row>
    <row r="7" spans="6:18" x14ac:dyDescent="0.25">
      <c r="F7" s="9" t="s">
        <v>34</v>
      </c>
      <c r="G7" s="4" t="s">
        <v>30</v>
      </c>
      <c r="H7" s="9">
        <f>IF(G7="No",0,-0.8)</f>
        <v>0</v>
      </c>
      <c r="I7" s="9"/>
      <c r="J7" s="9">
        <v>30000</v>
      </c>
      <c r="K7">
        <f t="shared" si="0"/>
        <v>0.23120242880934416</v>
      </c>
      <c r="L7">
        <f t="shared" si="3"/>
        <v>0.23120242880934416</v>
      </c>
      <c r="M7" s="1">
        <f t="shared" si="1"/>
        <v>0.23120242880934416</v>
      </c>
      <c r="N7" s="2">
        <f t="shared" si="2"/>
        <v>0.23120242880934416</v>
      </c>
      <c r="O7" s="12">
        <f t="shared" si="4"/>
        <v>0.23120242880934416</v>
      </c>
      <c r="P7" s="9"/>
      <c r="Q7" s="9" t="s">
        <v>4</v>
      </c>
      <c r="R7" s="9">
        <v>110000</v>
      </c>
    </row>
    <row r="8" spans="6:18" x14ac:dyDescent="0.25">
      <c r="F8" s="9" t="s">
        <v>36</v>
      </c>
      <c r="G8" s="4" t="s">
        <v>30</v>
      </c>
      <c r="H8" s="9">
        <f>IF(G8="No",0,-0.5)</f>
        <v>0</v>
      </c>
      <c r="I8" s="9"/>
      <c r="J8" s="9">
        <v>100000</v>
      </c>
      <c r="K8">
        <f t="shared" si="0"/>
        <v>0.37423455891489799</v>
      </c>
      <c r="L8">
        <f t="shared" si="3"/>
        <v>0.37423455891489799</v>
      </c>
      <c r="M8" s="1">
        <f t="shared" si="1"/>
        <v>0.37423455891489799</v>
      </c>
      <c r="N8" s="2">
        <f t="shared" si="2"/>
        <v>0.37423455891489799</v>
      </c>
      <c r="O8" s="12">
        <f t="shared" si="4"/>
        <v>0.37423455891489799</v>
      </c>
      <c r="P8" s="9"/>
      <c r="Q8" s="9" t="s">
        <v>5</v>
      </c>
      <c r="R8" s="9">
        <v>240000</v>
      </c>
    </row>
    <row r="9" spans="6:18" x14ac:dyDescent="0.25">
      <c r="F9" s="9" t="s">
        <v>35</v>
      </c>
      <c r="G9" s="4" t="s">
        <v>30</v>
      </c>
      <c r="H9" s="9">
        <f>IF(G9="No",0,-0.5)</f>
        <v>0</v>
      </c>
      <c r="I9" s="9"/>
      <c r="J9" s="9">
        <v>300000</v>
      </c>
      <c r="K9">
        <f t="shared" si="0"/>
        <v>0.58075424385825125</v>
      </c>
      <c r="L9">
        <f t="shared" si="3"/>
        <v>0.58075424385825125</v>
      </c>
      <c r="M9" s="1">
        <f t="shared" si="1"/>
        <v>0.58075424385825125</v>
      </c>
      <c r="N9" s="2">
        <f t="shared" si="2"/>
        <v>0.58075424385825125</v>
      </c>
      <c r="O9" s="12">
        <f t="shared" si="4"/>
        <v>0.58075424385825125</v>
      </c>
      <c r="P9" s="9"/>
      <c r="Q9" s="9" t="s">
        <v>6</v>
      </c>
      <c r="R9" s="9">
        <v>860000</v>
      </c>
    </row>
    <row r="10" spans="6:18" x14ac:dyDescent="0.25">
      <c r="F10" s="9" t="s">
        <v>44</v>
      </c>
      <c r="G10" s="5" t="s">
        <v>6</v>
      </c>
      <c r="H10" s="9"/>
      <c r="I10" s="9"/>
      <c r="J10" s="9">
        <v>1000000</v>
      </c>
      <c r="K10">
        <f t="shared" si="0"/>
        <v>0.94003471074030476</v>
      </c>
      <c r="L10">
        <f t="shared" si="3"/>
        <v>0.94003471074030476</v>
      </c>
      <c r="M10" s="1">
        <f t="shared" si="1"/>
        <v>0.65</v>
      </c>
      <c r="N10" s="2">
        <f t="shared" si="2"/>
        <v>0.65</v>
      </c>
      <c r="O10" s="12">
        <f t="shared" si="4"/>
        <v>0.65</v>
      </c>
      <c r="P10" s="9"/>
      <c r="Q10" s="9" t="s">
        <v>7</v>
      </c>
      <c r="R10" s="9">
        <v>450000</v>
      </c>
    </row>
    <row r="11" spans="6:18" x14ac:dyDescent="0.25">
      <c r="F11" s="9" t="s">
        <v>22</v>
      </c>
      <c r="G11" s="11">
        <f>VLOOKUP(G10,Q4:R19,2,FALSE)</f>
        <v>860000</v>
      </c>
      <c r="H11" s="9"/>
      <c r="I11" s="9"/>
      <c r="J11" s="9">
        <v>3000000</v>
      </c>
      <c r="K11">
        <f t="shared" si="0"/>
        <v>1.4587887051891473</v>
      </c>
      <c r="L11">
        <f t="shared" si="3"/>
        <v>1.4587887051891473</v>
      </c>
      <c r="M11" s="1">
        <f t="shared" si="1"/>
        <v>0.65</v>
      </c>
      <c r="N11" s="2">
        <f t="shared" si="2"/>
        <v>0.65</v>
      </c>
      <c r="O11" s="12">
        <f t="shared" si="4"/>
        <v>0.65</v>
      </c>
      <c r="P11" s="9"/>
      <c r="Q11" s="9" t="s">
        <v>8</v>
      </c>
      <c r="R11" s="9">
        <v>1100000</v>
      </c>
    </row>
    <row r="12" spans="6:18" x14ac:dyDescent="0.25">
      <c r="F12" s="9" t="s">
        <v>18</v>
      </c>
      <c r="G12" s="14">
        <f>MAX(0,1+G3+SUM(H5:H9))</f>
        <v>1.77</v>
      </c>
      <c r="H12" s="9"/>
      <c r="I12" s="9"/>
      <c r="J12" s="9">
        <v>10000000</v>
      </c>
      <c r="K12">
        <f t="shared" si="0"/>
        <v>2.3612604350566047</v>
      </c>
      <c r="L12">
        <f t="shared" si="3"/>
        <v>2.3612604350566047</v>
      </c>
      <c r="M12" s="1">
        <f t="shared" si="1"/>
        <v>0.65</v>
      </c>
      <c r="N12" s="2">
        <f t="shared" si="2"/>
        <v>0.65</v>
      </c>
      <c r="O12" s="12">
        <f t="shared" si="4"/>
        <v>0.65</v>
      </c>
      <c r="P12" s="9"/>
      <c r="Q12" s="9" t="s">
        <v>9</v>
      </c>
      <c r="R12" s="9">
        <v>4500000</v>
      </c>
    </row>
    <row r="13" spans="6:18" x14ac:dyDescent="0.25">
      <c r="F13" s="9" t="s">
        <v>19</v>
      </c>
      <c r="G13" s="14">
        <f>50%+G4</f>
        <v>0.65</v>
      </c>
      <c r="H13" s="9"/>
      <c r="I13" s="9"/>
      <c r="J13" s="9">
        <v>30000000</v>
      </c>
      <c r="K13">
        <f t="shared" si="0"/>
        <v>3.6643115550040481</v>
      </c>
      <c r="L13">
        <f t="shared" si="3"/>
        <v>3.6643115550040481</v>
      </c>
      <c r="M13" s="1">
        <f t="shared" si="1"/>
        <v>0.65</v>
      </c>
      <c r="N13" s="2">
        <f t="shared" si="2"/>
        <v>0.65</v>
      </c>
      <c r="O13" s="12">
        <f t="shared" si="4"/>
        <v>0.65</v>
      </c>
      <c r="P13" s="9"/>
      <c r="Q13" s="9" t="s">
        <v>10</v>
      </c>
      <c r="R13" s="9">
        <v>5700000</v>
      </c>
    </row>
    <row r="14" spans="6:18" x14ac:dyDescent="0.25">
      <c r="F14" s="9"/>
      <c r="G14" s="11"/>
      <c r="H14" s="9"/>
      <c r="I14" s="9"/>
      <c r="J14" s="9">
        <f>G15*G18</f>
        <v>9629622.6000000015</v>
      </c>
      <c r="K14">
        <f t="shared" si="0"/>
        <v>2.3258815673460389</v>
      </c>
      <c r="L14">
        <f t="shared" si="3"/>
        <v>2.3258815673460389</v>
      </c>
      <c r="M14" s="1">
        <f t="shared" si="1"/>
        <v>0.65</v>
      </c>
      <c r="N14" s="2">
        <f t="shared" si="2"/>
        <v>0.65</v>
      </c>
      <c r="O14" s="3">
        <f t="shared" si="4"/>
        <v>0.65</v>
      </c>
      <c r="P14" s="9"/>
      <c r="Q14" s="9" t="s">
        <v>11</v>
      </c>
      <c r="R14" s="9">
        <v>6600000</v>
      </c>
    </row>
    <row r="15" spans="6:18" ht="30" x14ac:dyDescent="0.25">
      <c r="F15" s="10" t="s">
        <v>47</v>
      </c>
      <c r="G15" s="5">
        <v>1234567</v>
      </c>
      <c r="H15" s="9"/>
      <c r="I15" s="9"/>
      <c r="J15" s="9"/>
      <c r="K15"/>
      <c r="L15"/>
      <c r="M15"/>
      <c r="N15"/>
      <c r="O15" s="9"/>
      <c r="P15" s="9"/>
      <c r="Q15" s="9" t="s">
        <v>14</v>
      </c>
      <c r="R15" s="9">
        <v>9000000</v>
      </c>
    </row>
    <row r="16" spans="6:18" x14ac:dyDescent="0.25">
      <c r="F16" s="9" t="s">
        <v>31</v>
      </c>
      <c r="G16" s="5" t="s">
        <v>29</v>
      </c>
      <c r="H16" s="9"/>
      <c r="I16" s="9"/>
      <c r="J16" s="9"/>
      <c r="K16"/>
      <c r="L16"/>
      <c r="M16"/>
      <c r="N16"/>
      <c r="O16" s="9"/>
      <c r="P16" s="9"/>
      <c r="Q16" s="9" t="s">
        <v>15</v>
      </c>
      <c r="R16" s="9">
        <v>10600000</v>
      </c>
    </row>
    <row r="17" spans="6:18" x14ac:dyDescent="0.25">
      <c r="F17" s="9" t="s">
        <v>27</v>
      </c>
      <c r="G17" s="5">
        <v>19</v>
      </c>
      <c r="H17" s="9"/>
      <c r="I17" s="9"/>
      <c r="J17" s="9"/>
      <c r="K17"/>
      <c r="L17"/>
      <c r="M17"/>
      <c r="N17"/>
      <c r="O17" s="9"/>
      <c r="P17" s="9"/>
      <c r="Q17" s="9" t="s">
        <v>12</v>
      </c>
      <c r="R17" s="9">
        <v>14000000</v>
      </c>
    </row>
    <row r="18" spans="6:18" x14ac:dyDescent="0.25">
      <c r="F18" s="9" t="s">
        <v>28</v>
      </c>
      <c r="G18" s="11">
        <f>IF(G16="Yes",5.9+IFERROR(MAX(1,MIN(40,G17)),1)/10,1)</f>
        <v>7.8000000000000007</v>
      </c>
      <c r="H18" s="9"/>
      <c r="I18" s="9"/>
      <c r="J18" s="9"/>
      <c r="K18"/>
      <c r="L18"/>
      <c r="M18"/>
      <c r="N18"/>
      <c r="O18" s="9"/>
      <c r="P18" s="9"/>
      <c r="Q18" s="9" t="s">
        <v>13</v>
      </c>
      <c r="R18" s="9">
        <v>22000000</v>
      </c>
    </row>
    <row r="19" spans="6:18" x14ac:dyDescent="0.25">
      <c r="F19" s="9" t="s">
        <v>39</v>
      </c>
      <c r="G19" s="4" t="s">
        <v>30</v>
      </c>
      <c r="H19" s="9"/>
      <c r="I19" s="9"/>
      <c r="J19" s="9"/>
      <c r="K19"/>
      <c r="L19"/>
      <c r="M19"/>
      <c r="N19"/>
      <c r="O19" s="9"/>
      <c r="P19" s="9"/>
      <c r="Q19" s="9" t="s">
        <v>48</v>
      </c>
      <c r="R19" s="9">
        <v>30000000</v>
      </c>
    </row>
    <row r="20" spans="6:18" x14ac:dyDescent="0.25">
      <c r="F20" s="9" t="s">
        <v>40</v>
      </c>
      <c r="G20" s="4" t="s">
        <v>30</v>
      </c>
      <c r="H20" s="9"/>
      <c r="I20" s="9"/>
      <c r="J20" s="9"/>
      <c r="K20"/>
      <c r="L20"/>
      <c r="M20"/>
      <c r="N20"/>
      <c r="O20" s="9"/>
      <c r="P20" s="9"/>
      <c r="Q20" s="9"/>
      <c r="R20" s="9"/>
    </row>
    <row r="21" spans="6:18" x14ac:dyDescent="0.25">
      <c r="F21" s="9" t="s">
        <v>41</v>
      </c>
      <c r="G21" s="11">
        <f>IF(G19="Yes",IF(G20="Yes",1,0),0)</f>
        <v>0</v>
      </c>
      <c r="H21" s="9"/>
      <c r="I21" s="9"/>
      <c r="J21" s="9"/>
      <c r="K21"/>
      <c r="L21"/>
      <c r="M21"/>
      <c r="N21"/>
      <c r="O21" s="9"/>
      <c r="P21" s="9"/>
      <c r="Q21" s="13" t="s">
        <v>45</v>
      </c>
      <c r="R21" s="13"/>
    </row>
    <row r="22" spans="6:18" x14ac:dyDescent="0.25">
      <c r="F22" s="9"/>
      <c r="G22" s="11"/>
      <c r="H22" s="9"/>
      <c r="I22" s="9"/>
      <c r="J22" s="9"/>
      <c r="K22"/>
      <c r="L22"/>
      <c r="M22"/>
      <c r="N22"/>
      <c r="O22" s="9"/>
      <c r="P22" s="9"/>
      <c r="Q22" s="6" t="s">
        <v>46</v>
      </c>
      <c r="R22" s="6"/>
    </row>
    <row r="23" spans="6:18" x14ac:dyDescent="0.25">
      <c r="F23" s="9"/>
      <c r="G23" s="11"/>
      <c r="H23" s="9"/>
      <c r="I23" s="9"/>
      <c r="J23" s="9"/>
      <c r="K23"/>
      <c r="L23"/>
      <c r="M23"/>
      <c r="N23"/>
      <c r="O23" s="9"/>
      <c r="P23" s="9"/>
      <c r="Q23" s="9"/>
      <c r="R23" s="9"/>
    </row>
    <row r="30" spans="6:18" x14ac:dyDescent="0.25">
      <c r="J30" s="7" t="s">
        <v>29</v>
      </c>
    </row>
    <row r="31" spans="6:18" x14ac:dyDescent="0.25">
      <c r="J31" s="7" t="s">
        <v>30</v>
      </c>
    </row>
    <row r="37" ht="51" customHeight="1" x14ac:dyDescent="0.25"/>
  </sheetData>
  <mergeCells count="3">
    <mergeCell ref="Q21:R21"/>
    <mergeCell ref="F1:I1"/>
    <mergeCell ref="Q22:R22"/>
  </mergeCells>
  <dataValidations count="2">
    <dataValidation type="list" allowBlank="1" showInputMessage="1" showErrorMessage="1" sqref="G16 G5:G9 G19:G20" xr:uid="{B263FFBA-2A15-4EA9-9C7C-FB6CA206324F}">
      <formula1>$J$30:$J$31</formula1>
    </dataValidation>
    <dataValidation type="list" allowBlank="1" showInputMessage="1" showErrorMessage="1" sqref="G10" xr:uid="{74C43211-63D0-4B8A-9D35-9C9009FB0C7E}">
      <formula1>$Q$4:$Q$19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cheeseman</dc:creator>
  <cp:lastModifiedBy>andrew cheeseman</cp:lastModifiedBy>
  <dcterms:created xsi:type="dcterms:W3CDTF">2022-08-18T07:29:02Z</dcterms:created>
  <dcterms:modified xsi:type="dcterms:W3CDTF">2022-08-18T10:33:09Z</dcterms:modified>
</cp:coreProperties>
</file>